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1"/>
    <sheet name="Assumptions" sheetId="2" r:id="rId2"/>
    <sheet name="Historicals" sheetId="3" r:id="rId3"/>
    <sheet name="Sources &amp; Uses" sheetId="4" r:id="rId4"/>
    <sheet name="Projections" sheetId="5" r:id="rId5"/>
    <sheet name="Returns" sheetId="6" r:id="rId6"/>
  </sheets>
  <calcPr calcId="124519" fullCalcOnLoad="1"/>
</workbook>
</file>

<file path=xl/sharedStrings.xml><?xml version="1.0" encoding="utf-8"?>
<sst xmlns="http://schemas.openxmlformats.org/spreadsheetml/2006/main" count="128" uniqueCount="116">
  <si>
    <t>Project Firebreak: Sponsor Model</t>
  </si>
  <si>
    <t>SAMPLE / FICTIONAL. Created for an Ars Futura AI working session. The company, sponsor, people and numbers are invented. Not an offer; not investment advice.</t>
  </si>
  <si>
    <t>Prepared by: Bracken Ferry Partners (fictional sponsor)</t>
  </si>
  <si>
    <t>Version: October 2026</t>
  </si>
  <si>
    <t>Target: Bramblecrest Fire &amp; Safety Services, Inc. (fictional)</t>
  </si>
  <si>
    <t>Tabs: Assumptions | Historicals | Sources &amp; Uses | Projections | Returns</t>
  </si>
  <si>
    <t>All figures in US$ millions unless noted. Blue font = input.</t>
  </si>
  <si>
    <t>Assumptions (US$m)</t>
  </si>
  <si>
    <t>Entry</t>
  </si>
  <si>
    <t>TTM revenue (Sep-2026)</t>
  </si>
  <si>
    <t>TTM reported EBITDA</t>
  </si>
  <si>
    <t>Add-back: owner compensation normalization</t>
  </si>
  <si>
    <t>Add-back: one-time ERP implementation</t>
  </si>
  <si>
    <t>Add-back: pro forma price increase (Jan-2027)</t>
  </si>
  <si>
    <t>TTM adjusted EBITDA</t>
  </si>
  <si>
    <t>Entry multiple (x TTM adjusted EBITDA)</t>
  </si>
  <si>
    <t>Enterprise value</t>
  </si>
  <si>
    <t>Fees and expenses (incl. 2% sponsor closing fee)</t>
  </si>
  <si>
    <t>Cash to balance sheet</t>
  </si>
  <si>
    <t>Financing</t>
  </si>
  <si>
    <t>Senior term loan</t>
  </si>
  <si>
    <t>Term loan interest rate (SOFR + 5.25%)</t>
  </si>
  <si>
    <t>Seller note (subordinated)</t>
  </si>
  <si>
    <t>Seller note rate (PIK: interest accrues to principal)</t>
  </si>
  <si>
    <t>Operating assumptions</t>
  </si>
  <si>
    <t>Organic revenue growth</t>
  </si>
  <si>
    <t>Price increase</t>
  </si>
  <si>
    <t>Tuck-in acquired revenue</t>
  </si>
  <si>
    <t>Tuck-in purchase price (funded with term loan)</t>
  </si>
  <si>
    <t>EBITDA margin</t>
  </si>
  <si>
    <t>D&amp;A (% of revenue)</t>
  </si>
  <si>
    <t>Capex (% of revenue)</t>
  </si>
  <si>
    <t>Net working capital (% of revenue growth)</t>
  </si>
  <si>
    <t>Tax rate</t>
  </si>
  <si>
    <t>Sponsor monitoring fee (per year)</t>
  </si>
  <si>
    <t>Exit</t>
  </si>
  <si>
    <t>Exit year</t>
  </si>
  <si>
    <t>Exit multiple (x EBITDA)</t>
  </si>
  <si>
    <t>Exit transaction costs (% of EV)</t>
  </si>
  <si>
    <t>Management incentive pool (% of equity gain)</t>
  </si>
  <si>
    <t>Carried interest: up to 3.0x (B) / above 3.0x (C)</t>
  </si>
  <si>
    <t>Historical financials (US$m)</t>
  </si>
  <si>
    <t>FY2023</t>
  </si>
  <si>
    <t>FY2024</t>
  </si>
  <si>
    <t>FY2025</t>
  </si>
  <si>
    <t>TTM Sep-26</t>
  </si>
  <si>
    <t>Revenue</t>
  </si>
  <si>
    <t>Gross profit</t>
  </si>
  <si>
    <t>Reported EBITDA</t>
  </si>
  <si>
    <t>Capex</t>
  </si>
  <si>
    <t>Net working capital (period end)</t>
  </si>
  <si>
    <t>Gross margin</t>
  </si>
  <si>
    <t>NWC (% of revenue)</t>
  </si>
  <si>
    <t>FY2023 reviewed (not audited); FY2024 and FY2025 audited; TTM from unaudited management accounts.</t>
  </si>
  <si>
    <t>Sources &amp; uses at close (US$m)</t>
  </si>
  <si>
    <t>Uses</t>
  </si>
  <si>
    <t>Purchase price (enterprise value)</t>
  </si>
  <si>
    <t>Fees and expenses</t>
  </si>
  <si>
    <t>Total uses</t>
  </si>
  <si>
    <t>Sources</t>
  </si>
  <si>
    <t>Seller note</t>
  </si>
  <si>
    <t>Equity</t>
  </si>
  <si>
    <t>Total sources</t>
  </si>
  <si>
    <t>Check (sources - uses)</t>
  </si>
  <si>
    <t>Senior leverage (x adjusted EBITDA)</t>
  </si>
  <si>
    <t>Total leverage (x adjusted EBITDA)</t>
  </si>
  <si>
    <t>Total leverage (x reported EBITDA)</t>
  </si>
  <si>
    <t>Projections, sponsor base case (US$m)</t>
  </si>
  <si>
    <t>2027E</t>
  </si>
  <si>
    <t>2028E</t>
  </si>
  <si>
    <t>2029E</t>
  </si>
  <si>
    <t>2030E</t>
  </si>
  <si>
    <t>2031E</t>
  </si>
  <si>
    <t>Revenue growth</t>
  </si>
  <si>
    <t>EBITDA</t>
  </si>
  <si>
    <t>Sponsor monitoring fee</t>
  </si>
  <si>
    <t>D&amp;A</t>
  </si>
  <si>
    <t>EBIT</t>
  </si>
  <si>
    <t>Term loan interest</t>
  </si>
  <si>
    <t>Seller note PIK interest (non-cash)</t>
  </si>
  <si>
    <t>Pre-tax income</t>
  </si>
  <si>
    <t>Taxes</t>
  </si>
  <si>
    <t>Change in net working capital</t>
  </si>
  <si>
    <t>Term loan, beginning</t>
  </si>
  <si>
    <t>Free cash flow (sweeps term loan)</t>
  </si>
  <si>
    <t>Tuck-in acquisitions (term loan draw)</t>
  </si>
  <si>
    <t>Term loan, ending</t>
  </si>
  <si>
    <t>Seller note, beginning</t>
  </si>
  <si>
    <t>Seller note, ending</t>
  </si>
  <si>
    <t>Returns to equity investors (US$m)</t>
  </si>
  <si>
    <t>Exit-year EBITDA (2031E)</t>
  </si>
  <si>
    <t>Exit enterprise value</t>
  </si>
  <si>
    <t>Exit transaction costs</t>
  </si>
  <si>
    <t>Term loan at exit</t>
  </si>
  <si>
    <t>Seller note at exit</t>
  </si>
  <si>
    <t>Equity value before incentive pool</t>
  </si>
  <si>
    <t>Management incentive pool</t>
  </si>
  <si>
    <t>Equity value to investors</t>
  </si>
  <si>
    <t>Equity invested</t>
  </si>
  <si>
    <t>Gross MOIC</t>
  </si>
  <si>
    <t>Close (Dec-26)</t>
  </si>
  <si>
    <t>2027</t>
  </si>
  <si>
    <t>2028</t>
  </si>
  <si>
    <t>2029</t>
  </si>
  <si>
    <t>2030</t>
  </si>
  <si>
    <t>2031</t>
  </si>
  <si>
    <t>Equity cash flows</t>
  </si>
  <si>
    <t>Gross IRR</t>
  </si>
  <si>
    <t>Carried interest (sponsor)</t>
  </si>
  <si>
    <t>Net proceeds to investors</t>
  </si>
  <si>
    <t>Net MOIC</t>
  </si>
  <si>
    <t>Net IRR</t>
  </si>
  <si>
    <t>Exit multiple sensitivity</t>
  </si>
  <si>
    <t>Exit multiple</t>
  </si>
  <si>
    <t>Equity to investors</t>
  </si>
  <si>
    <t>Net figures are the sponsor's simplified estimate: equity after the management incentive pool, less carried interest.</t>
  </si>
</sst>
</file>

<file path=xl/styles.xml><?xml version="1.0" encoding="utf-8"?>
<styleSheet xmlns="http://schemas.openxmlformats.org/spreadsheetml/2006/main">
  <numFmts count="5">
    <numFmt numFmtId="164" formatCode="0.0"/>
    <numFmt numFmtId="165" formatCode="0.0&quot;x&quot;"/>
    <numFmt numFmtId="166" formatCode="0.0%"/>
    <numFmt numFmtId="167" formatCode="0.00"/>
    <numFmt numFmtId="168" formatCode="0.00&quot;x&quot;"/>
  </numFmts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/>
    <xf numFmtId="164" fontId="3" fillId="0" borderId="0" xfId="0" applyNumberFormat="1" applyFont="1"/>
    <xf numFmtId="0" fontId="2" fillId="0" borderId="0" xfId="0" applyFont="1"/>
    <xf numFmtId="164" fontId="2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0" fontId="2" fillId="0" borderId="1" xfId="0" applyFont="1" applyBorder="1" applyAlignment="1">
      <alignment horizontal="right"/>
    </xf>
    <xf numFmtId="167" fontId="3" fillId="0" borderId="0" xfId="0" applyNumberFormat="1" applyFont="1"/>
    <xf numFmtId="1" fontId="3" fillId="0" borderId="0" xfId="0" applyNumberFormat="1" applyFont="1"/>
    <xf numFmtId="166" fontId="0" fillId="0" borderId="0" xfId="0" applyNumberFormat="1"/>
    <xf numFmtId="0" fontId="4" fillId="0" borderId="0" xfId="0" applyFont="1"/>
    <xf numFmtId="164" fontId="0" fillId="0" borderId="0" xfId="0" applyNumberFormat="1"/>
    <xf numFmtId="167" fontId="0" fillId="0" borderId="0" xfId="0" applyNumberFormat="1"/>
    <xf numFmtId="165" fontId="0" fillId="0" borderId="0" xfId="0" applyNumberFormat="1"/>
    <xf numFmtId="167" fontId="2" fillId="0" borderId="0" xfId="0" applyNumberFormat="1" applyFont="1"/>
    <xf numFmtId="168" fontId="2" fillId="0" borderId="0" xfId="0" applyNumberFormat="1" applyFont="1"/>
    <xf numFmtId="166" fontId="2" fillId="0" borderId="0" xfId="0" applyNumberFormat="1" applyFon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tabSelected="1" workbookViewId="0"/>
  </sheetViews>
  <sheetFormatPr defaultRowHeight="15"/>
  <cols>
    <col min="1" max="1" width="110.7109375" customWidth="1"/>
  </cols>
  <sheetData>
    <row r="1" spans="1:1">
      <c r="A1" s="1" t="s">
        <v>0</v>
      </c>
    </row>
    <row r="2" spans="1:1">
      <c r="A2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8" spans="1:1">
      <c r="A8" t="s">
        <v>5</v>
      </c>
    </row>
    <row r="9" spans="1:1">
      <c r="A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52.7109375" customWidth="1"/>
    <col min="2" max="7" width="11.7109375" customWidth="1"/>
  </cols>
  <sheetData>
    <row r="1" spans="1:2">
      <c r="A1" s="1" t="s">
        <v>7</v>
      </c>
    </row>
    <row r="3" spans="1:2">
      <c r="A3" s="2" t="s">
        <v>8</v>
      </c>
    </row>
    <row r="4" spans="1:2">
      <c r="A4" t="s">
        <v>9</v>
      </c>
      <c r="B4" s="3">
        <v>57.9</v>
      </c>
    </row>
    <row r="5" spans="1:2">
      <c r="A5" t="s">
        <v>10</v>
      </c>
      <c r="B5" s="3">
        <v>7.9</v>
      </c>
    </row>
    <row r="6" spans="1:2">
      <c r="A6" t="s">
        <v>11</v>
      </c>
      <c r="B6" s="3">
        <v>0.4</v>
      </c>
    </row>
    <row r="7" spans="1:2">
      <c r="A7" t="s">
        <v>12</v>
      </c>
      <c r="B7" s="3">
        <v>0.3</v>
      </c>
    </row>
    <row r="8" spans="1:2">
      <c r="A8" t="s">
        <v>13</v>
      </c>
      <c r="B8" s="3">
        <v>0.4</v>
      </c>
    </row>
    <row r="9" spans="1:2">
      <c r="A9" s="4" t="s">
        <v>14</v>
      </c>
      <c r="B9" s="5">
        <f>SUM(B5:B8)</f>
        <v>9.000000000000002</v>
      </c>
    </row>
    <row r="10" spans="1:2">
      <c r="A10" t="s">
        <v>15</v>
      </c>
      <c r="B10" s="6">
        <v>6</v>
      </c>
    </row>
    <row r="11" spans="1:2">
      <c r="A11" s="4" t="s">
        <v>16</v>
      </c>
      <c r="B11" s="5">
        <f>B9*B10</f>
        <v>54.000000000000014</v>
      </c>
    </row>
    <row r="12" spans="1:2">
      <c r="A12" t="s">
        <v>17</v>
      </c>
      <c r="B12" s="3">
        <v>1.8</v>
      </c>
    </row>
    <row r="13" spans="1:2">
      <c r="A13" t="s">
        <v>18</v>
      </c>
      <c r="B13" s="3">
        <v>0.5</v>
      </c>
    </row>
    <row r="15" spans="1:2">
      <c r="A15" s="2" t="s">
        <v>19</v>
      </c>
    </row>
    <row r="16" spans="1:2">
      <c r="A16" t="s">
        <v>20</v>
      </c>
      <c r="B16" s="3">
        <v>31.5</v>
      </c>
    </row>
    <row r="17" spans="1:7">
      <c r="A17" t="s">
        <v>21</v>
      </c>
      <c r="B17" s="7">
        <v>0.095</v>
      </c>
    </row>
    <row r="18" spans="1:7">
      <c r="A18" t="s">
        <v>22</v>
      </c>
      <c r="B18" s="3">
        <v>7.2</v>
      </c>
    </row>
    <row r="19" spans="1:7">
      <c r="A19" t="s">
        <v>23</v>
      </c>
      <c r="B19" s="7">
        <v>0.08</v>
      </c>
    </row>
    <row r="21" spans="1:7">
      <c r="A21" s="2" t="s">
        <v>24</v>
      </c>
      <c r="C21" s="8">
        <v>2027</v>
      </c>
      <c r="D21" s="8">
        <v>2028</v>
      </c>
      <c r="E21" s="8">
        <v>2029</v>
      </c>
      <c r="F21" s="8">
        <v>2030</v>
      </c>
      <c r="G21" s="8">
        <v>2031</v>
      </c>
    </row>
    <row r="22" spans="1:7">
      <c r="A22" t="s">
        <v>25</v>
      </c>
      <c r="C22" s="7">
        <v>0.02</v>
      </c>
      <c r="D22" s="7">
        <v>0.02</v>
      </c>
      <c r="E22" s="7">
        <v>0.02</v>
      </c>
      <c r="F22" s="7">
        <v>0.02</v>
      </c>
      <c r="G22" s="7">
        <v>0.02</v>
      </c>
    </row>
    <row r="23" spans="1:7">
      <c r="A23" t="s">
        <v>26</v>
      </c>
      <c r="C23" s="7">
        <v>0.03</v>
      </c>
      <c r="D23" s="7">
        <v>0</v>
      </c>
      <c r="E23" s="7">
        <v>0</v>
      </c>
      <c r="F23" s="7">
        <v>0</v>
      </c>
      <c r="G23" s="7">
        <v>0</v>
      </c>
    </row>
    <row r="24" spans="1:7">
      <c r="A24" t="s">
        <v>27</v>
      </c>
      <c r="C24" s="3">
        <v>0</v>
      </c>
      <c r="D24" s="3">
        <v>3</v>
      </c>
      <c r="E24" s="3">
        <v>4</v>
      </c>
      <c r="F24" s="3">
        <v>0</v>
      </c>
      <c r="G24" s="3">
        <v>0</v>
      </c>
    </row>
    <row r="25" spans="1:7">
      <c r="A25" t="s">
        <v>28</v>
      </c>
      <c r="C25" s="3">
        <v>0</v>
      </c>
      <c r="D25" s="3">
        <v>2.5</v>
      </c>
      <c r="E25" s="3">
        <v>3.2</v>
      </c>
      <c r="F25" s="3">
        <v>0</v>
      </c>
      <c r="G25" s="3">
        <v>0</v>
      </c>
    </row>
    <row r="26" spans="1:7">
      <c r="A26" t="s">
        <v>29</v>
      </c>
      <c r="C26" s="7">
        <v>0.155</v>
      </c>
      <c r="D26" s="7">
        <v>0.156</v>
      </c>
      <c r="E26" s="7">
        <v>0.157</v>
      </c>
      <c r="F26" s="7">
        <v>0.158</v>
      </c>
      <c r="G26" s="7">
        <v>0.159</v>
      </c>
    </row>
    <row r="27" spans="1:7">
      <c r="A27" t="s">
        <v>30</v>
      </c>
      <c r="B27" s="7">
        <v>0.015</v>
      </c>
    </row>
    <row r="28" spans="1:7">
      <c r="A28" t="s">
        <v>31</v>
      </c>
      <c r="B28" s="7">
        <v>0.008</v>
      </c>
    </row>
    <row r="29" spans="1:7">
      <c r="A29" t="s">
        <v>32</v>
      </c>
      <c r="B29" s="7">
        <v>0</v>
      </c>
    </row>
    <row r="30" spans="1:7">
      <c r="A30" t="s">
        <v>33</v>
      </c>
      <c r="B30" s="7">
        <v>0.25</v>
      </c>
    </row>
    <row r="31" spans="1:7">
      <c r="A31" t="s">
        <v>34</v>
      </c>
      <c r="B31" s="9">
        <v>0.25</v>
      </c>
    </row>
    <row r="33" spans="1:3">
      <c r="A33" s="2" t="s">
        <v>35</v>
      </c>
    </row>
    <row r="34" spans="1:3">
      <c r="A34" t="s">
        <v>36</v>
      </c>
      <c r="B34" s="10">
        <v>2031</v>
      </c>
    </row>
    <row r="35" spans="1:3">
      <c r="A35" t="s">
        <v>37</v>
      </c>
      <c r="B35" s="6">
        <v>7</v>
      </c>
    </row>
    <row r="36" spans="1:3">
      <c r="A36" t="s">
        <v>38</v>
      </c>
      <c r="B36" s="7">
        <v>0.02</v>
      </c>
    </row>
    <row r="37" spans="1:3">
      <c r="A37" t="s">
        <v>39</v>
      </c>
      <c r="B37" s="7">
        <v>0.1</v>
      </c>
    </row>
    <row r="38" spans="1:3">
      <c r="A38" t="s">
        <v>40</v>
      </c>
      <c r="B38" s="7">
        <v>0.2</v>
      </c>
      <c r="C38" s="7">
        <v>0.25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40.7109375" customWidth="1"/>
    <col min="2" max="5" width="13.7109375" customWidth="1"/>
  </cols>
  <sheetData>
    <row r="1" spans="1:5">
      <c r="A1" s="1" t="s">
        <v>41</v>
      </c>
    </row>
    <row r="3" spans="1:5">
      <c r="B3" s="8" t="s">
        <v>42</v>
      </c>
      <c r="C3" s="8" t="s">
        <v>43</v>
      </c>
      <c r="D3" s="8" t="s">
        <v>44</v>
      </c>
      <c r="E3" s="8" t="s">
        <v>45</v>
      </c>
    </row>
    <row r="4" spans="1:5">
      <c r="A4" t="s">
        <v>46</v>
      </c>
      <c r="B4" s="3">
        <v>46.2</v>
      </c>
      <c r="C4" s="3">
        <v>51.8</v>
      </c>
      <c r="D4" s="3">
        <v>55.3</v>
      </c>
      <c r="E4" s="3">
        <v>57.9</v>
      </c>
    </row>
    <row r="5" spans="1:5">
      <c r="A5" t="s">
        <v>47</v>
      </c>
      <c r="B5" s="3">
        <v>17.1</v>
      </c>
      <c r="C5" s="3">
        <v>19.4</v>
      </c>
      <c r="D5" s="3">
        <v>21</v>
      </c>
      <c r="E5" s="3">
        <v>22.1</v>
      </c>
    </row>
    <row r="6" spans="1:5">
      <c r="A6" t="s">
        <v>51</v>
      </c>
      <c r="B6" s="11">
        <f>B5/B4</f>
        <v>0.37012987012987014</v>
      </c>
      <c r="C6" s="11">
        <f>C5/C4</f>
        <v>0.3745173745173745</v>
      </c>
      <c r="D6" s="11">
        <f>D5/D4</f>
        <v>0.379746835443038</v>
      </c>
      <c r="E6" s="11">
        <f>E5/E4</f>
        <v>0.381692573402418</v>
      </c>
    </row>
    <row r="7" spans="1:5">
      <c r="A7" t="s">
        <v>48</v>
      </c>
      <c r="B7" s="3">
        <v>6.1</v>
      </c>
      <c r="C7" s="3">
        <v>7</v>
      </c>
      <c r="D7" s="3">
        <v>7.6</v>
      </c>
      <c r="E7" s="3">
        <v>7.9</v>
      </c>
    </row>
    <row r="8" spans="1:5">
      <c r="A8" t="s">
        <v>29</v>
      </c>
      <c r="B8" s="11">
        <f>B7/B4</f>
        <v>0.13203463203463203</v>
      </c>
      <c r="C8" s="11">
        <f>C7/C4</f>
        <v>0.13513513513513514</v>
      </c>
      <c r="D8" s="11">
        <f>D7/D4</f>
        <v>0.13743218806509946</v>
      </c>
      <c r="E8" s="11">
        <f>E7/E4</f>
        <v>0.13644214162348878</v>
      </c>
    </row>
    <row r="9" spans="1:5">
      <c r="A9" t="s">
        <v>49</v>
      </c>
      <c r="B9" s="3">
        <v>0.8</v>
      </c>
      <c r="C9" s="3">
        <v>0.9</v>
      </c>
      <c r="D9" s="3">
        <v>0.9</v>
      </c>
      <c r="E9" s="3">
        <v>0.9</v>
      </c>
    </row>
    <row r="10" spans="1:5">
      <c r="A10" t="s">
        <v>31</v>
      </c>
      <c r="B10" s="11">
        <f>B9/B4</f>
        <v>0.017316017316017316</v>
      </c>
      <c r="C10" s="11">
        <f>C9/C4</f>
        <v>0.017374517374517374</v>
      </c>
      <c r="D10" s="11">
        <f>D9/D4</f>
        <v>0.0162748643761302</v>
      </c>
      <c r="E10" s="11">
        <f>E9/E4</f>
        <v>0.015544041450777204</v>
      </c>
    </row>
    <row r="11" spans="1:5">
      <c r="A11" t="s">
        <v>50</v>
      </c>
      <c r="B11" s="3">
        <v>5.6</v>
      </c>
      <c r="C11" s="3">
        <v>6.3</v>
      </c>
      <c r="D11" s="3">
        <v>6.6</v>
      </c>
      <c r="E11" s="3">
        <v>6.9</v>
      </c>
    </row>
    <row r="12" spans="1:5">
      <c r="A12" t="s">
        <v>52</v>
      </c>
      <c r="B12" s="11">
        <f>B11/B4</f>
        <v>0.1212121212121212</v>
      </c>
      <c r="C12" s="11">
        <f>C11/C4</f>
        <v>0.12162162162162163</v>
      </c>
      <c r="D12" s="11">
        <f>D11/D4</f>
        <v>0.11934900542495479</v>
      </c>
      <c r="E12" s="11">
        <f>E11/E4</f>
        <v>0.11917098445595856</v>
      </c>
    </row>
    <row r="14" spans="1:5">
      <c r="A14" s="12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4.7109375" customWidth="1"/>
    <col min="2" max="2" width="12.7109375" customWidth="1"/>
  </cols>
  <sheetData>
    <row r="1" spans="1:2">
      <c r="A1" s="1" t="s">
        <v>54</v>
      </c>
    </row>
    <row r="3" spans="1:2">
      <c r="A3" s="2" t="s">
        <v>55</v>
      </c>
    </row>
    <row r="4" spans="1:2">
      <c r="A4" t="s">
        <v>56</v>
      </c>
      <c r="B4" s="13">
        <f>Assumptions!B11</f>
        <v>54.000000000000014</v>
      </c>
    </row>
    <row r="5" spans="1:2">
      <c r="A5" t="s">
        <v>57</v>
      </c>
      <c r="B5" s="13">
        <f>Assumptions!B12</f>
        <v>1.8</v>
      </c>
    </row>
    <row r="6" spans="1:2">
      <c r="A6" t="s">
        <v>18</v>
      </c>
      <c r="B6" s="13">
        <f>Assumptions!B13</f>
        <v>0.5</v>
      </c>
    </row>
    <row r="7" spans="1:2">
      <c r="A7" s="4" t="s">
        <v>58</v>
      </c>
      <c r="B7" s="5">
        <f>SUM(B4:B6)</f>
        <v>56.30000000000001</v>
      </c>
    </row>
    <row r="9" spans="1:2">
      <c r="A9" s="2" t="s">
        <v>59</v>
      </c>
    </row>
    <row r="10" spans="1:2">
      <c r="A10" t="s">
        <v>20</v>
      </c>
      <c r="B10" s="13">
        <f>Assumptions!B16</f>
        <v>31.5</v>
      </c>
    </row>
    <row r="11" spans="1:2">
      <c r="A11" t="s">
        <v>60</v>
      </c>
      <c r="B11" s="13">
        <f>Assumptions!B18</f>
        <v>7.2</v>
      </c>
    </row>
    <row r="12" spans="1:2">
      <c r="A12" t="s">
        <v>61</v>
      </c>
      <c r="B12" s="13">
        <f>B7-B10-B11</f>
        <v>17.600000000000012</v>
      </c>
    </row>
    <row r="13" spans="1:2">
      <c r="A13" s="4" t="s">
        <v>62</v>
      </c>
      <c r="B13" s="5">
        <f>SUM(B10:B12)</f>
        <v>56.30000000000001</v>
      </c>
    </row>
    <row r="15" spans="1:2">
      <c r="A15" t="s">
        <v>63</v>
      </c>
      <c r="B15" s="14">
        <f>B13-B7</f>
        <v>0.0</v>
      </c>
    </row>
    <row r="17" spans="1:2">
      <c r="A17" t="s">
        <v>64</v>
      </c>
      <c r="B17" s="15">
        <f>B10/Assumptions!B9</f>
        <v>3.499999999999999</v>
      </c>
    </row>
    <row r="18" spans="1:2">
      <c r="A18" t="s">
        <v>65</v>
      </c>
      <c r="B18" s="15">
        <f>(B10+B11)/Assumptions!B9</f>
        <v>4.3</v>
      </c>
    </row>
    <row r="19" spans="1:2">
      <c r="A19" t="s">
        <v>66</v>
      </c>
      <c r="B19" s="15">
        <f>(B10+B11)/Assumptions!B5</f>
        <v>4.89873417721519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44.7109375" customWidth="1"/>
    <col min="2" max="7" width="11.7109375" customWidth="1"/>
  </cols>
  <sheetData>
    <row r="1" spans="1:7">
      <c r="A1" s="1" t="s">
        <v>67</v>
      </c>
    </row>
    <row r="3" spans="1:7">
      <c r="B3" s="8" t="s">
        <v>45</v>
      </c>
      <c r="C3" s="8" t="s">
        <v>68</v>
      </c>
      <c r="D3" s="8" t="s">
        <v>69</v>
      </c>
      <c r="E3" s="8" t="s">
        <v>70</v>
      </c>
      <c r="F3" s="8" t="s">
        <v>71</v>
      </c>
      <c r="G3" s="8" t="s">
        <v>72</v>
      </c>
    </row>
    <row r="4" spans="1:7">
      <c r="A4" s="4" t="s">
        <v>46</v>
      </c>
      <c r="B4" s="13">
        <f>Assumptions!B4</f>
        <v>57.9</v>
      </c>
      <c r="C4" s="13">
        <f>B4*(1+Assumptions!C22+Assumptions!C23)+Assumptions!C24</f>
        <v>60.795</v>
      </c>
      <c r="D4" s="13">
        <v>65.8</v>
      </c>
      <c r="E4" s="13">
        <f>D4*(1+Assumptions!E22+Assumptions!E23)+Assumptions!E24</f>
        <v>71.116</v>
      </c>
      <c r="F4" s="13">
        <f>E4*(1+Assumptions!F22+Assumptions!F23)+Assumptions!F24</f>
        <v>72.53832</v>
      </c>
      <c r="G4" s="13">
        <f>F4*(1+Assumptions!G22+Assumptions!G23)+Assumptions!G24</f>
        <v>73.9890864</v>
      </c>
    </row>
    <row r="5" spans="1:7">
      <c r="A5" t="s">
        <v>73</v>
      </c>
      <c r="C5" s="11">
        <f>C4/B4-1</f>
        <v>0.050000000000000044</v>
      </c>
      <c r="D5" s="11">
        <f>D4/C4-1</f>
        <v>0.08232584916522723</v>
      </c>
      <c r="E5" s="11">
        <f>E4/D4-1</f>
        <v>0.08079027355623114</v>
      </c>
      <c r="F5" s="11">
        <f>F4/E4-1</f>
        <v>0.020000000000000018</v>
      </c>
      <c r="G5" s="11">
        <f>G4/F4-1</f>
        <v>0.020000000000000018</v>
      </c>
    </row>
    <row r="6" spans="1:7">
      <c r="A6" s="4" t="s">
        <v>74</v>
      </c>
      <c r="B6" s="13">
        <f>Assumptions!B9</f>
        <v>9.000000000000002</v>
      </c>
      <c r="C6" s="13">
        <f>C4*Assumptions!C26</f>
        <v>9.423225</v>
      </c>
      <c r="D6" s="13">
        <f>D4*Assumptions!D26</f>
        <v>10.2648</v>
      </c>
      <c r="E6" s="13">
        <f>E4*Assumptions!E26</f>
        <v>11.165212</v>
      </c>
      <c r="F6" s="13">
        <f>F4*Assumptions!F26</f>
        <v>11.46105456</v>
      </c>
      <c r="G6" s="13">
        <f>G4*Assumptions!G26</f>
        <v>11.764264737600001</v>
      </c>
    </row>
    <row r="7" spans="1:7">
      <c r="A7" t="s">
        <v>29</v>
      </c>
      <c r="B7" s="11">
        <f>B6/B4</f>
        <v>0.15544041450777205</v>
      </c>
      <c r="C7" s="11">
        <f>C6/C4</f>
        <v>0.155</v>
      </c>
      <c r="D7" s="11">
        <f>D6/D4</f>
        <v>0.156</v>
      </c>
      <c r="E7" s="11">
        <f>E6/E4</f>
        <v>0.157</v>
      </c>
      <c r="F7" s="11">
        <f>F6/F4</f>
        <v>0.158</v>
      </c>
      <c r="G7" s="11">
        <f>G6/G4</f>
        <v>0.159</v>
      </c>
    </row>
    <row r="8" spans="1:7">
      <c r="A8" t="s">
        <v>75</v>
      </c>
      <c r="C8" s="14">
        <f>Assumptions!$B$31</f>
        <v>0.25</v>
      </c>
      <c r="D8" s="14">
        <f>Assumptions!$B$31</f>
        <v>0.25</v>
      </c>
      <c r="E8" s="14">
        <f>Assumptions!$B$31</f>
        <v>0.25</v>
      </c>
      <c r="F8" s="14">
        <f>Assumptions!$B$31</f>
        <v>0.25</v>
      </c>
      <c r="G8" s="14">
        <f>Assumptions!$B$31</f>
        <v>0.25</v>
      </c>
    </row>
    <row r="9" spans="1:7">
      <c r="A9" t="s">
        <v>76</v>
      </c>
      <c r="C9" s="14">
        <f>C4*Assumptions!$B$27</f>
        <v>0.911925</v>
      </c>
      <c r="D9" s="14">
        <f>D4*Assumptions!$B$27</f>
        <v>0.9869999999999999</v>
      </c>
      <c r="E9" s="14">
        <f>E4*Assumptions!$B$27</f>
        <v>1.06674</v>
      </c>
      <c r="F9" s="14">
        <f>F4*Assumptions!$B$27</f>
        <v>1.0880748</v>
      </c>
      <c r="G9" s="14">
        <f>G4*Assumptions!$B$27</f>
        <v>1.109836296</v>
      </c>
    </row>
    <row r="10" spans="1:7">
      <c r="A10" t="s">
        <v>77</v>
      </c>
      <c r="C10" s="14">
        <f>C6-C8-C9</f>
        <v>8.2613</v>
      </c>
      <c r="D10" s="14">
        <f>D6-D8-D9</f>
        <v>9.0278</v>
      </c>
      <c r="E10" s="14">
        <f>E6-E8-E9</f>
        <v>9.848472000000001</v>
      </c>
      <c r="F10" s="14">
        <f>F6-F8-F9</f>
        <v>10.12297976</v>
      </c>
      <c r="G10" s="14">
        <f>G6-G8-G9</f>
        <v>10.4044284416</v>
      </c>
    </row>
    <row r="11" spans="1:7">
      <c r="A11" t="s">
        <v>78</v>
      </c>
      <c r="C11" s="14">
        <f>C17*Assumptions!$B$17</f>
        <v>2.9925</v>
      </c>
      <c r="D11" s="14">
        <f>D17*Assumptions!$B$17</f>
        <v>2.562989325</v>
      </c>
      <c r="E11" s="14">
        <f>E17*Assumptions!$B$17</f>
        <v>2.28243456440625</v>
      </c>
      <c r="F11" s="14">
        <f>F17*Assumptions!$B$17</f>
        <v>1.9863822571201952</v>
      </c>
      <c r="G11" s="14">
        <f>G17*Assumptions!$B$17</f>
        <v>1.3447317022400092</v>
      </c>
    </row>
    <row r="12" spans="1:7">
      <c r="A12" t="s">
        <v>79</v>
      </c>
      <c r="C12" s="14">
        <f>C21*Assumptions!$B$19</f>
        <v>0.5760000000000001</v>
      </c>
      <c r="D12" s="14">
        <f>D21*Assumptions!$B$19</f>
        <v>0.5760000000000001</v>
      </c>
      <c r="E12" s="14">
        <f>E21*Assumptions!$B$19</f>
        <v>0.5760000000000001</v>
      </c>
      <c r="F12" s="14">
        <f>F21*Assumptions!$B$19</f>
        <v>0.5760000000000001</v>
      </c>
      <c r="G12" s="14">
        <f>G21*Assumptions!$B$19</f>
        <v>0.5760000000000001</v>
      </c>
    </row>
    <row r="13" spans="1:7">
      <c r="A13" t="s">
        <v>80</v>
      </c>
      <c r="C13" s="14">
        <f>C10-C11-C12</f>
        <v>4.6928</v>
      </c>
      <c r="D13" s="14">
        <f>D10-D11-D12</f>
        <v>5.888810674999998</v>
      </c>
      <c r="E13" s="14">
        <f>E10-E11-E12</f>
        <v>6.9900374355937505</v>
      </c>
      <c r="F13" s="14">
        <f>F10-F11-F12</f>
        <v>7.560597502879805</v>
      </c>
      <c r="G13" s="14">
        <f>G10-G11-G12</f>
        <v>8.48369673935999</v>
      </c>
    </row>
    <row r="14" spans="1:7">
      <c r="A14" t="s">
        <v>81</v>
      </c>
      <c r="C14" s="14">
        <f>MAX(0,C13*Assumptions!$B$30)</f>
        <v>1.1732</v>
      </c>
      <c r="D14" s="14">
        <f>MAX(0,D13*Assumptions!$B$30)</f>
        <v>1.4722026687499996</v>
      </c>
      <c r="E14" s="14">
        <f>MAX(0,E13*Assumptions!$B$30)</f>
        <v>1.7475093588984376</v>
      </c>
      <c r="F14" s="14">
        <f>MAX(0,F13*Assumptions!$B$30)</f>
        <v>1.8901493757199512</v>
      </c>
      <c r="G14" s="14">
        <f>MAX(0,G13*Assumptions!$B$30)</f>
        <v>2.1209241848399976</v>
      </c>
    </row>
    <row r="15" spans="1:7">
      <c r="A15" t="s">
        <v>49</v>
      </c>
      <c r="C15" s="14">
        <f>C4*Assumptions!$B$28</f>
        <v>0.48636</v>
      </c>
      <c r="D15" s="14">
        <f>D4*Assumptions!$B$28</f>
        <v>0.5264</v>
      </c>
      <c r="E15" s="14">
        <f>E4*Assumptions!$B$28</f>
        <v>0.568928</v>
      </c>
      <c r="F15" s="14">
        <f>F4*Assumptions!$B$28</f>
        <v>0.58030656</v>
      </c>
      <c r="G15" s="14">
        <f>G4*Assumptions!$B$28</f>
        <v>0.5919126912</v>
      </c>
    </row>
    <row r="16" spans="1:7">
      <c r="A16" t="s">
        <v>82</v>
      </c>
      <c r="C16" s="14">
        <f>(C4-B4)*Assumptions!$B$29</f>
        <v>0.0</v>
      </c>
      <c r="D16" s="14">
        <f>(D4-C4)*Assumptions!$B$29</f>
        <v>0.0</v>
      </c>
      <c r="E16" s="14">
        <f>(E4-D4)*Assumptions!$B$29</f>
        <v>0.0</v>
      </c>
      <c r="F16" s="14">
        <f>(F4-E4)*Assumptions!$B$29</f>
        <v>0.0</v>
      </c>
      <c r="G16" s="14">
        <f>(G4-F4)*Assumptions!$B$29</f>
        <v>0.0</v>
      </c>
    </row>
    <row r="17" spans="1:7">
      <c r="A17" t="s">
        <v>83</v>
      </c>
      <c r="C17" s="14">
        <f>Assumptions!B16</f>
        <v>31.5</v>
      </c>
      <c r="D17" s="14">
        <f>C20</f>
        <v>26.978835</v>
      </c>
      <c r="E17" s="14">
        <f>D20</f>
        <v>24.025626993750002</v>
      </c>
      <c r="F17" s="14">
        <f>E20</f>
        <v>20.909286917054686</v>
      </c>
      <c r="G17" s="14">
        <f>F20</f>
        <v>14.155070549894834</v>
      </c>
    </row>
    <row r="18" spans="1:7">
      <c r="A18" s="4" t="s">
        <v>84</v>
      </c>
      <c r="C18" s="14">
        <f>C6-C8-C14-C15-C16-C11</f>
        <v>4.521165</v>
      </c>
      <c r="D18" s="14">
        <f>D6-D8-D14-D15-D16-D11</f>
        <v>5.45320800625</v>
      </c>
      <c r="E18" s="14">
        <f>E6-E8-E14-E15-E16-E11</f>
        <v>6.3163400766953135</v>
      </c>
      <c r="F18" s="14">
        <f>F6-F8-F14-F15-F16-F11</f>
        <v>6.754216367159851</v>
      </c>
      <c r="G18" s="14">
        <f>G6-G8-G14-G15-G16-G11</f>
        <v>7.4566961593199945</v>
      </c>
    </row>
    <row r="19" spans="1:7">
      <c r="A19" t="s">
        <v>85</v>
      </c>
      <c r="C19" s="14">
        <f>Assumptions!C25</f>
        <v>0</v>
      </c>
      <c r="D19" s="14">
        <f>Assumptions!D25</f>
        <v>2.5</v>
      </c>
      <c r="E19" s="14">
        <f>Assumptions!E25</f>
        <v>3.2</v>
      </c>
      <c r="F19" s="14">
        <f>Assumptions!F25</f>
        <v>0</v>
      </c>
      <c r="G19" s="14">
        <f>Assumptions!G25</f>
        <v>0</v>
      </c>
    </row>
    <row r="20" spans="1:7">
      <c r="A20" s="4" t="s">
        <v>86</v>
      </c>
      <c r="C20" s="14">
        <f>C17+C19-C18</f>
        <v>26.978835</v>
      </c>
      <c r="D20" s="14">
        <f>D17+D19-D18</f>
        <v>24.025626993750002</v>
      </c>
      <c r="E20" s="14">
        <f>E17+E19-E18</f>
        <v>20.909286917054686</v>
      </c>
      <c r="F20" s="14">
        <f>F17+F19-F18</f>
        <v>14.155070549894834</v>
      </c>
      <c r="G20" s="14">
        <f>G17+G19-G18</f>
        <v>6.698374390574839</v>
      </c>
    </row>
    <row r="21" spans="1:7">
      <c r="A21" t="s">
        <v>87</v>
      </c>
      <c r="C21" s="14">
        <f>Assumptions!B18</f>
        <v>7.2</v>
      </c>
      <c r="D21" s="14">
        <f>C22</f>
        <v>7.2</v>
      </c>
      <c r="E21" s="14">
        <f>D22</f>
        <v>7.2</v>
      </c>
      <c r="F21" s="14">
        <f>E22</f>
        <v>7.2</v>
      </c>
      <c r="G21" s="14">
        <f>F22</f>
        <v>7.2</v>
      </c>
    </row>
    <row r="22" spans="1:7">
      <c r="A22" s="4" t="s">
        <v>88</v>
      </c>
      <c r="C22" s="14">
        <f>C21</f>
        <v>7.2</v>
      </c>
      <c r="D22" s="14">
        <f>D21</f>
        <v>7.2</v>
      </c>
      <c r="E22" s="14">
        <f>E21</f>
        <v>7.2</v>
      </c>
      <c r="F22" s="14">
        <f>F21</f>
        <v>7.2</v>
      </c>
      <c r="G22" s="14">
        <f>G21</f>
        <v>7.2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44.7109375" customWidth="1"/>
    <col min="2" max="7" width="13.7109375" customWidth="1"/>
  </cols>
  <sheetData>
    <row r="1" spans="1:7">
      <c r="A1" s="1" t="s">
        <v>89</v>
      </c>
    </row>
    <row r="4" spans="1:7">
      <c r="A4" t="s">
        <v>90</v>
      </c>
      <c r="B4" s="14">
        <f>Projections!G6</f>
        <v>11.764264737600001</v>
      </c>
    </row>
    <row r="5" spans="1:7">
      <c r="A5" t="s">
        <v>37</v>
      </c>
      <c r="B5" s="15">
        <v>8</v>
      </c>
    </row>
    <row r="6" spans="1:7">
      <c r="A6" t="s">
        <v>91</v>
      </c>
      <c r="B6" s="14">
        <f>B4*B5</f>
        <v>94.11411790080001</v>
      </c>
    </row>
    <row r="7" spans="1:7">
      <c r="A7" t="s">
        <v>92</v>
      </c>
      <c r="B7" s="14">
        <f>B6*Assumptions!B36</f>
        <v>1.8822823580160002</v>
      </c>
    </row>
    <row r="8" spans="1:7">
      <c r="A8" t="s">
        <v>93</v>
      </c>
      <c r="B8" s="14">
        <f>Projections!G20</f>
        <v>6.698374390574839</v>
      </c>
    </row>
    <row r="9" spans="1:7">
      <c r="A9" t="s">
        <v>94</v>
      </c>
      <c r="B9" s="14">
        <f>Projections!G22</f>
        <v>7.2</v>
      </c>
    </row>
    <row r="10" spans="1:7">
      <c r="A10" t="s">
        <v>95</v>
      </c>
      <c r="B10" s="14">
        <f>B6-B7-B8-B9</f>
        <v>78.33346115220917</v>
      </c>
    </row>
    <row r="11" spans="1:7">
      <c r="A11" t="s">
        <v>96</v>
      </c>
      <c r="B11" s="14">
        <f>Assumptions!B37*MAX(0,B10-'Sources &amp; Uses'!B12)</f>
        <v>6.073346115220916</v>
      </c>
    </row>
    <row r="12" spans="1:7">
      <c r="A12" s="4" t="s">
        <v>97</v>
      </c>
      <c r="B12" s="16">
        <f>B10-B11</f>
        <v>72.26011503698825</v>
      </c>
    </row>
    <row r="13" spans="1:7">
      <c r="A13" t="s">
        <v>98</v>
      </c>
      <c r="B13" s="14">
        <f>'Sources &amp; Uses'!B12</f>
        <v>17.600000000000012</v>
      </c>
    </row>
    <row r="14" spans="1:7">
      <c r="A14" s="4" t="s">
        <v>99</v>
      </c>
      <c r="B14" s="17">
        <f>B12/B13</f>
        <v>4.10568835437433</v>
      </c>
    </row>
    <row r="15" spans="1:7">
      <c r="B15" s="8" t="s">
        <v>100</v>
      </c>
      <c r="C15" s="8" t="s">
        <v>101</v>
      </c>
      <c r="D15" s="8" t="s">
        <v>102</v>
      </c>
      <c r="E15" s="8" t="s">
        <v>103</v>
      </c>
      <c r="F15" s="8" t="s">
        <v>104</v>
      </c>
      <c r="G15" s="8" t="s">
        <v>105</v>
      </c>
    </row>
    <row r="16" spans="1:7">
      <c r="A16" t="s">
        <v>106</v>
      </c>
      <c r="B16" s="14">
        <f>-B13</f>
        <v>-17.600000000000012</v>
      </c>
      <c r="C16" s="14">
        <v>0</v>
      </c>
      <c r="D16" s="14">
        <v>0</v>
      </c>
      <c r="E16" s="14">
        <v>0</v>
      </c>
      <c r="F16" s="14">
        <v>0</v>
      </c>
      <c r="G16" s="14">
        <f>B12</f>
        <v>72.26011503698825</v>
      </c>
    </row>
    <row r="17" spans="1:5">
      <c r="A17" s="4" t="s">
        <v>107</v>
      </c>
      <c r="B17" s="18">
        <f>IRR(B16:G16)</f>
        <v>0.32640819417082834</v>
      </c>
    </row>
    <row r="19" spans="1:5">
      <c r="A19" t="s">
        <v>108</v>
      </c>
      <c r="B19" s="14">
        <f>IF(B12&gt;B13,Assumptions!B38*MIN(B12-B13,2*B13)+Assumptions!C38*MAX(0,B12-3*B13),0)</f>
        <v>11.90502875924706</v>
      </c>
    </row>
    <row r="20" spans="1:5">
      <c r="A20" t="s">
        <v>109</v>
      </c>
      <c r="B20" s="14">
        <f>B12-B19</f>
        <v>60.355086277741194</v>
      </c>
    </row>
    <row r="21" spans="1:5">
      <c r="A21" s="4" t="s">
        <v>110</v>
      </c>
      <c r="B21" s="17">
        <f>B20/B13</f>
        <v>3.4292662657807473</v>
      </c>
    </row>
    <row r="22" spans="1:5">
      <c r="A22" s="4" t="s">
        <v>111</v>
      </c>
      <c r="B22" s="18">
        <f>B21^(1/5)-1</f>
        <v>0.27949985631826935</v>
      </c>
    </row>
    <row r="25" spans="1:5">
      <c r="A25" s="2" t="s">
        <v>112</v>
      </c>
    </row>
    <row r="26" spans="1:5">
      <c r="A26" s="2" t="s">
        <v>113</v>
      </c>
      <c r="B26" s="8" t="s">
        <v>114</v>
      </c>
      <c r="C26" s="8" t="s">
        <v>99</v>
      </c>
      <c r="D26" s="8" t="s">
        <v>110</v>
      </c>
      <c r="E26" s="8" t="s">
        <v>111</v>
      </c>
    </row>
    <row r="27" spans="1:5">
      <c r="A27" s="15">
        <v>6</v>
      </c>
      <c r="B27" s="14">
        <f>($B$4*A27*(1-Assumptions!$B$36)-$B$8-$B$9)-Assumptions!$B$37*MAX(0,($B$4*A27*(1-Assumptions!$B$36)-$B$8-$B$9)-$B$13)</f>
        <v>51.50795203986184</v>
      </c>
      <c r="C27" s="19">
        <f>B27/$B$13</f>
        <v>2.926588184083057</v>
      </c>
      <c r="D27" s="19">
        <f>(B27-IF(B27&gt;$B$13,Assumptions!$B$38*MIN(B27-$B$13,2*$B$13)+Assumptions!$C$38*MAX(0,B27-3*$B$13),0))/$B$13</f>
        <v>2.541270547266446</v>
      </c>
      <c r="E27" s="11">
        <f>D27^(1/5)-1</f>
        <v>0.205064188856809</v>
      </c>
    </row>
    <row r="28" spans="1:5">
      <c r="A28" s="15">
        <v>7</v>
      </c>
      <c r="B28" s="14">
        <f>($B$4*A28*(1-Assumptions!$B$36)-$B$8-$B$9)-Assumptions!$B$37*MAX(0,($B$4*A28*(1-Assumptions!$B$36)-$B$8-$B$9)-$B$13)</f>
        <v>61.88403353842505</v>
      </c>
      <c r="C28" s="19">
        <f>B28/$B$13</f>
        <v>3.5161382692286938</v>
      </c>
      <c r="D28" s="19">
        <f>(B28-IF(B28&gt;$B$13,Assumptions!$B$38*MIN(B28-$B$13,2*$B$13)+Assumptions!$C$38*MAX(0,B28-3*$B$13),0))/$B$13</f>
        <v>2.9871037019215203</v>
      </c>
      <c r="E28" s="11">
        <f>D28^(1/5)-1</f>
        <v>0.24465807205518542</v>
      </c>
    </row>
    <row r="29" spans="1:5">
      <c r="A29" s="15">
        <v>8</v>
      </c>
      <c r="B29" s="14">
        <f>($B$4*A29*(1-Assumptions!$B$36)-$B$8-$B$9)-Assumptions!$B$37*MAX(0,($B$4*A29*(1-Assumptions!$B$36)-$B$8-$B$9)-$B$13)</f>
        <v>72.26011503698825</v>
      </c>
      <c r="C29" s="19">
        <f>B29/$B$13</f>
        <v>4.10568835437433</v>
      </c>
      <c r="D29" s="19">
        <f>(B29-IF(B29&gt;$B$13,Assumptions!$B$38*MIN(B29-$B$13,2*$B$13)+Assumptions!$C$38*MAX(0,B29-3*$B$13),0))/$B$13</f>
        <v>3.4292662657807473</v>
      </c>
      <c r="E29" s="11">
        <f>D29^(1/5)-1</f>
        <v>0.27949985631826935</v>
      </c>
    </row>
    <row r="30" spans="1:5">
      <c r="A30" s="15">
        <v>9</v>
      </c>
      <c r="B30" s="14">
        <f>($B$4*A30*(1-Assumptions!$B$36)-$B$8-$B$9)-Assumptions!$B$37*MAX(0,($B$4*A30*(1-Assumptions!$B$36)-$B$8-$B$9)-$B$13)</f>
        <v>82.63619653555145</v>
      </c>
      <c r="C30" s="19">
        <f>B30/$B$13</f>
        <v>4.695238439519965</v>
      </c>
      <c r="D30" s="19">
        <f>(B30-IF(B30&gt;$B$13,Assumptions!$B$38*MIN(B30-$B$13,2*$B$13)+Assumptions!$C$38*MAX(0,B30-3*$B$13),0))/$B$13</f>
        <v>3.8714288296399735</v>
      </c>
      <c r="E30" s="11">
        <f>D30^(1/5)-1</f>
        <v>0.310914164198663</v>
      </c>
    </row>
    <row r="32" spans="1:5">
      <c r="A32" s="1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Assumptions</vt:lpstr>
      <vt:lpstr>Historicals</vt:lpstr>
      <vt:lpstr>Sources &amp; Uses</vt:lpstr>
      <vt:lpstr>Projections</vt:lpstr>
      <vt:lpstr>Returns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2026-10-29T09:51:02Z</dcterms:created>
  <dcterms:modified xsi:type="dcterms:W3CDTF">2026-10-29T09:51:02Z</dcterms:modified>
</cp:coreProperties>
</file>